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<sst xmlns="http://schemas.openxmlformats.org/spreadsheetml/2006/main" count="171" uniqueCount="123">
  <si>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</si>
  <si>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</si>
  <si>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</si>
  <si>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</si>
  <si>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</si>
  <si>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</si>
  <si>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</si>
  <si>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</si>
  <si>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</si>
  <si>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</si>
  <si>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</si>
  <si>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</si>
  <si>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</si>
  <si>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</si>
  <si>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</si>
  <si>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</si>
  <si>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</si>
  <si>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</si>
  <si>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</si>
  <si>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</si>
  <si>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</si>
  <si>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</si>
  <si>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</si>
  <si>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</si>
  <si>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</si>
  <si>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</si>
  <si>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</si>
  <si>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</si>
  <si>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</si>
  <si>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</si>
  <si>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</si>
  <si>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</si>
  <si>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</si>
  <si>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</si>
  <si>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</si>
  <si>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</si>
  <si>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</si>
  <si>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</si>
  <si>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</si>
  <si>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</si>
  <si>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</si>
  <si>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</si>
  <si>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</si>
  <si>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</si>
  <si>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</si>
  <si>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</si>
  <si>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</si>
  <si>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</si>
  <si>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</si>
  <si>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</si>
  <si>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</si>
  <si>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</si>
  <si>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</si>
  <si>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</si>
  <si>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</si>
  <si>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</si>
  <si>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</si>
  <si>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</si>
  <si>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</si>
  <si>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</si>
  <si>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</si>
  <si>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</si>
  <si>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</si>
  <si>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</si>
  <si>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</si>
  <si>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</si>
  <si>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</si>
  <si>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</si>
  <si>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</si>
  <si>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</si>
  <si>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</si>
  <si>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</si>
  <si>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</si>
  <si>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</si>
  <si>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</si>
  <si>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</si>
  <si>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</si>
  <si>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</si>
  <si>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</si>
  <si>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</si>
  <si>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</si>
  <si>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</si>
  <si>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</si>
  <si>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</si>
  <si>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</si>
  <si>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</si>
  <si>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</si>
  <si>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</si>
  <si>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</si>
  <si>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</si>
  <si>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</si>
  <si>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</si>
  <si>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</si>
  <si>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</si>
  <si>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</si>
  <si>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</si>
  <si>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</si>
  <si>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</si>
  <si>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</si>
  <si>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</si>
  <si>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</si>
  <si>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</si>
  <si>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</si>
  <si>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</si>
  <si>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</si>
  <si>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</si>
  <si>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</si>
  <si>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</si>
  <si>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</si>
  <si>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</si>
  <si>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</si>
  <si>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</si>
  <si>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</si>
  <si>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</si>
  <si>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</si>
  <si>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</si>
  <si>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</si>
  <si>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</si>
  <si>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</si>
  <si>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</si>
  <si>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</si>
  <si>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</si>
  <si>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2016 рік станом на 15.02.2016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</si>
</sst>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1113282"/>
        <c:axId val="10019539"/>
      </c:bar3D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23066988"/>
        <c:axId val="6276301"/>
      </c:bar3D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669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56486710"/>
        <c:axId val="38618343"/>
      </c:bar3D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18343"/>
        <c:crosses val="autoZero"/>
        <c:auto val="1"/>
        <c:lblOffset val="100"/>
        <c:tickLblSkip val="1"/>
        <c:noMultiLvlLbl val="0"/>
      </c:catAx>
      <c:valAx>
        <c:axId val="38618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7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12020768"/>
        <c:axId val="41078049"/>
      </c:bar3D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78049"/>
        <c:crosses val="autoZero"/>
        <c:auto val="1"/>
        <c:lblOffset val="100"/>
        <c:tickLblSkip val="1"/>
        <c:noMultiLvlLbl val="0"/>
      </c:catAx>
      <c:valAx>
        <c:axId val="4107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0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34158122"/>
        <c:axId val="38987643"/>
      </c:bar3D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87643"/>
        <c:crosses val="autoZero"/>
        <c:auto val="1"/>
        <c:lblOffset val="100"/>
        <c:tickLblSkip val="2"/>
        <c:noMultiLvlLbl val="0"/>
      </c:catAx>
      <c:valAx>
        <c:axId val="38987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15344468"/>
        <c:axId val="3882485"/>
      </c:bar3D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2485"/>
        <c:crosses val="autoZero"/>
        <c:auto val="1"/>
        <c:lblOffset val="100"/>
        <c:tickLblSkip val="1"/>
        <c:noMultiLvlLbl val="0"/>
      </c:catAx>
      <c:valAx>
        <c:axId val="3882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4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34942366"/>
        <c:axId val="46045839"/>
      </c:bar3D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45839"/>
        <c:crosses val="autoZero"/>
        <c:auto val="1"/>
        <c:lblOffset val="100"/>
        <c:tickLblSkip val="1"/>
        <c:noMultiLvlLbl val="0"/>
      </c:catAx>
      <c:valAx>
        <c:axId val="4604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2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11759368"/>
        <c:axId val="38725449"/>
      </c:bar3D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25449"/>
        <c:crosses val="autoZero"/>
        <c:auto val="1"/>
        <c:lblOffset val="100"/>
        <c:tickLblSkip val="1"/>
        <c:noMultiLvlLbl val="0"/>
      </c:catAx>
      <c:valAx>
        <c:axId val="38725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93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12984722"/>
        <c:axId val="49753635"/>
      </c:bar3D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53635"/>
        <c:crosses val="autoZero"/>
        <c:auto val="1"/>
        <c:lblOffset val="100"/>
        <c:tickLblSkip val="1"/>
        <c:noMultiLvlLbl val="0"/>
      </c:catAx>
      <c:valAx>
        <c:axId val="49753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847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122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7" t="s">
        <v>49</v>
      </c>
      <c r="B3" s="134" t="s">
        <v>119</v>
      </c>
      <c r="C3" s="134" t="s">
        <v>116</v>
      </c>
      <c r="D3" s="134" t="s">
        <v>28</v>
      </c>
      <c r="E3" s="134" t="s">
        <v>27</v>
      </c>
      <c r="F3" s="134" t="s">
        <v>120</v>
      </c>
      <c r="G3" s="134" t="s">
        <v>117</v>
      </c>
      <c r="H3" s="134" t="s">
        <v>121</v>
      </c>
      <c r="I3" s="134" t="s">
        <v>118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5" t="s">
        <v>33</v>
      </c>
      <c r="B6" s="49">
        <v>57951.5</v>
      </c>
      <c r="C6" s="50">
        <f>91233.3-4306</f>
        <v>86927.3</v>
      </c>
      <c r="D6" s="51">
        <f>3665.2+5419.3+785.5+220.1+4705.1+6727.5+675.5+217.6+0.2+117.8+63.8+2988.6+54.7+4050.2+6796.2</f>
        <v>36487.299999999996</v>
      </c>
      <c r="E6" s="3">
        <f>D6/D149*100</f>
        <v>42.73508377820619</v>
      </c>
      <c r="F6" s="3">
        <f>D6/B6*100</f>
        <v>62.96178701155276</v>
      </c>
      <c r="G6" s="3">
        <f aca="true" t="shared" si="0" ref="G6:G43">D6/C6*100</f>
        <v>41.974500530903406</v>
      </c>
      <c r="H6" s="51">
        <f>B6-D6</f>
        <v>21464.200000000004</v>
      </c>
      <c r="I6" s="51">
        <f aca="true" t="shared" si="1" ref="I6:I43">C6-D6</f>
        <v>50440.00000000001</v>
      </c>
    </row>
    <row r="7" spans="1:9" s="41" customFormat="1" ht="18.75">
      <c r="A7" s="112" t="s">
        <v>102</v>
      </c>
      <c r="B7" s="105">
        <v>27200.6</v>
      </c>
      <c r="C7" s="102">
        <f>45106.9-4306</f>
        <v>40800.9</v>
      </c>
      <c r="D7" s="113">
        <f>5419.3+86.3+97.4+56.7+6727.5+560.1+2.9+0.2+1.9+63.8+1046.3+6719.3</f>
        <v>20781.7</v>
      </c>
      <c r="E7" s="103">
        <f>D7/D6*100</f>
        <v>56.95598194440258</v>
      </c>
      <c r="F7" s="103">
        <f>D7/B7*100</f>
        <v>76.40162349359942</v>
      </c>
      <c r="G7" s="103">
        <f>D7/C7*100</f>
        <v>50.9344156623996</v>
      </c>
      <c r="H7" s="113">
        <f>B7-D7</f>
        <v>6418.899999999998</v>
      </c>
      <c r="I7" s="113">
        <f t="shared" si="1"/>
        <v>20019.2</v>
      </c>
    </row>
    <row r="8" spans="1:9" ht="18">
      <c r="A8" s="26" t="s">
        <v>3</v>
      </c>
      <c r="B8" s="46">
        <f>36686.2+718.4</f>
        <v>37404.6</v>
      </c>
      <c r="C8" s="47">
        <v>56790.4</v>
      </c>
      <c r="D8" s="48">
        <f>3665.2+5419.3+4645.9+6727.5+3.3+4022.1+5553.6</f>
        <v>30036.9</v>
      </c>
      <c r="E8" s="1">
        <f>D8/D6*100</f>
        <v>82.32152009055207</v>
      </c>
      <c r="F8" s="1">
        <f>D8/B8*100</f>
        <v>80.30269004347059</v>
      </c>
      <c r="G8" s="1">
        <f t="shared" si="0"/>
        <v>52.89080548825154</v>
      </c>
      <c r="H8" s="48">
        <f>B8-D8</f>
        <v>7367.699999999997</v>
      </c>
      <c r="I8" s="48">
        <f t="shared" si="1"/>
        <v>26753.5</v>
      </c>
    </row>
    <row r="9" spans="1:9" ht="18">
      <c r="A9" s="26" t="s">
        <v>2</v>
      </c>
      <c r="B9" s="46">
        <v>1</v>
      </c>
      <c r="C9" s="47">
        <v>2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</v>
      </c>
      <c r="I9" s="48">
        <f t="shared" si="1"/>
        <v>2</v>
      </c>
    </row>
    <row r="10" spans="1:9" ht="18">
      <c r="A10" s="26" t="s">
        <v>1</v>
      </c>
      <c r="B10" s="46">
        <v>2736.2</v>
      </c>
      <c r="C10" s="47">
        <v>4186.1</v>
      </c>
      <c r="D10" s="52">
        <f>345.3+106.4+54.5+56.4+92.4+115.9+196.4+52.1+68.7</f>
        <v>1088.1</v>
      </c>
      <c r="E10" s="1">
        <f>D10/D6*100</f>
        <v>2.982133509467678</v>
      </c>
      <c r="F10" s="1">
        <f aca="true" t="shared" si="3" ref="F10:F41">D10/B10*100</f>
        <v>39.766829910094295</v>
      </c>
      <c r="G10" s="1">
        <f t="shared" si="0"/>
        <v>25.993167865077275</v>
      </c>
      <c r="H10" s="48">
        <f t="shared" si="2"/>
        <v>1648.1</v>
      </c>
      <c r="I10" s="48">
        <f t="shared" si="1"/>
        <v>3098.0000000000005</v>
      </c>
    </row>
    <row r="11" spans="1:9" ht="18">
      <c r="A11" s="26" t="s">
        <v>0</v>
      </c>
      <c r="B11" s="46">
        <f>18239.2-718.4</f>
        <v>17520.8</v>
      </c>
      <c r="C11" s="47">
        <f>29821.3-4306</f>
        <v>25515.3</v>
      </c>
      <c r="D11" s="53">
        <f>435.2+111+615.5+123.2+0.2+1.9+63.8+2790+1.3+13.9+1170.1</f>
        <v>5326.1</v>
      </c>
      <c r="E11" s="1">
        <f>D11/D6*100</f>
        <v>14.597133797239042</v>
      </c>
      <c r="F11" s="1">
        <f t="shared" si="3"/>
        <v>30.398726085566874</v>
      </c>
      <c r="G11" s="1">
        <f t="shared" si="0"/>
        <v>20.874142181357854</v>
      </c>
      <c r="H11" s="48">
        <f t="shared" si="2"/>
        <v>12194.699999999999</v>
      </c>
      <c r="I11" s="48">
        <f t="shared" si="1"/>
        <v>20189.199999999997</v>
      </c>
    </row>
    <row r="12" spans="1:9" ht="18">
      <c r="A12" s="26" t="s">
        <v>15</v>
      </c>
      <c r="B12" s="46">
        <v>26.5</v>
      </c>
      <c r="C12" s="47">
        <v>40.6</v>
      </c>
      <c r="D12" s="48">
        <f>5+12.7+3.8</f>
        <v>21.5</v>
      </c>
      <c r="E12" s="1">
        <f>D12/D6*100</f>
        <v>0.05892461212531484</v>
      </c>
      <c r="F12" s="1">
        <f t="shared" si="3"/>
        <v>81.13207547169812</v>
      </c>
      <c r="G12" s="1">
        <f t="shared" si="0"/>
        <v>52.95566502463054</v>
      </c>
      <c r="H12" s="48">
        <f t="shared" si="2"/>
        <v>5</v>
      </c>
      <c r="I12" s="48">
        <f t="shared" si="1"/>
        <v>19.1</v>
      </c>
    </row>
    <row r="13" spans="1:9" ht="18.75" thickBot="1">
      <c r="A13" s="26" t="s">
        <v>34</v>
      </c>
      <c r="B13" s="47">
        <f>B6-B8-B9-B10-B11-B12</f>
        <v>262.40000000000146</v>
      </c>
      <c r="C13" s="47">
        <f>C6-C8-C9-C10-C11-C12</f>
        <v>392.9000000000036</v>
      </c>
      <c r="D13" s="47">
        <f>D6-D8-D9-D10-D11-D12</f>
        <v>14.699999999993452</v>
      </c>
      <c r="E13" s="1">
        <f>D13/D6*100</f>
        <v>0.04028799061589499</v>
      </c>
      <c r="F13" s="1">
        <f t="shared" si="3"/>
        <v>5.602134146338937</v>
      </c>
      <c r="G13" s="1">
        <f t="shared" si="0"/>
        <v>3.741410027995245</v>
      </c>
      <c r="H13" s="48">
        <f t="shared" si="2"/>
        <v>247.700000000008</v>
      </c>
      <c r="I13" s="48">
        <f t="shared" si="1"/>
        <v>378.20000000001016</v>
      </c>
    </row>
    <row r="14" spans="1:9" s="41" customFormat="1" ht="18.75" customHeight="1" hidden="1">
      <c r="A14" s="104" t="s">
        <v>81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78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79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80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37173.3</v>
      </c>
      <c r="C18" s="50">
        <f>61210.6-5450.6</f>
        <v>55760</v>
      </c>
      <c r="D18" s="51">
        <f>5722.2+538+9070.5+238.7+827+135.9+565.7+282.3+195.5+508.6+5725.7</f>
        <v>23810.100000000002</v>
      </c>
      <c r="E18" s="3">
        <f>D18/D149*100</f>
        <v>27.887144794694795</v>
      </c>
      <c r="F18" s="3">
        <f>D18/B18*100</f>
        <v>64.05161769334443</v>
      </c>
      <c r="G18" s="3">
        <f t="shared" si="0"/>
        <v>42.70104017216643</v>
      </c>
      <c r="H18" s="51">
        <f>B18-D18</f>
        <v>13363.2</v>
      </c>
      <c r="I18" s="51">
        <f t="shared" si="1"/>
        <v>31949.899999999998</v>
      </c>
    </row>
    <row r="19" spans="1:9" s="41" customFormat="1" ht="18.75">
      <c r="A19" s="112" t="s">
        <v>103</v>
      </c>
      <c r="B19" s="105">
        <v>28427</v>
      </c>
      <c r="C19" s="102">
        <f>48091.1-5450.6</f>
        <v>42640.5</v>
      </c>
      <c r="D19" s="113">
        <f>5722.2+537+5375.9+205.8+772.6+85.2+565.7+282.3+110.6+420+5725.7</f>
        <v>19803</v>
      </c>
      <c r="E19" s="103">
        <f>D19/D18*100</f>
        <v>83.17058727178801</v>
      </c>
      <c r="F19" s="103">
        <f t="shared" si="3"/>
        <v>69.6626446688008</v>
      </c>
      <c r="G19" s="103">
        <f t="shared" si="0"/>
        <v>46.441763112533856</v>
      </c>
      <c r="H19" s="113">
        <f t="shared" si="2"/>
        <v>8624</v>
      </c>
      <c r="I19" s="113">
        <f t="shared" si="1"/>
        <v>22837.5</v>
      </c>
    </row>
    <row r="20" spans="1:9" ht="18">
      <c r="A20" s="26" t="s">
        <v>5</v>
      </c>
      <c r="B20" s="46">
        <v>29972.4</v>
      </c>
      <c r="C20" s="47">
        <f>48963.2-5450.6</f>
        <v>43512.6</v>
      </c>
      <c r="D20" s="48">
        <f>5722.2+1+8655.9+32.9+2.4+5725.7</f>
        <v>20140.1</v>
      </c>
      <c r="E20" s="1">
        <f>D20/D18*100</f>
        <v>84.58637300977315</v>
      </c>
      <c r="F20" s="1">
        <f t="shared" si="3"/>
        <v>67.19548651425977</v>
      </c>
      <c r="G20" s="1">
        <f t="shared" si="0"/>
        <v>46.285673575010456</v>
      </c>
      <c r="H20" s="48">
        <f t="shared" si="2"/>
        <v>9832.300000000003</v>
      </c>
      <c r="I20" s="48">
        <f t="shared" si="1"/>
        <v>23372.5</v>
      </c>
    </row>
    <row r="21" spans="1:9" ht="18">
      <c r="A21" s="26" t="s">
        <v>2</v>
      </c>
      <c r="B21" s="46">
        <v>2041.7</v>
      </c>
      <c r="C21" s="47">
        <v>3450.6</v>
      </c>
      <c r="D21" s="48">
        <f>80.5+183.6+169.4+194.4+100+1.7+148.4+215.7</f>
        <v>1093.7</v>
      </c>
      <c r="E21" s="1">
        <f>D21/D18*100</f>
        <v>4.593428839022096</v>
      </c>
      <c r="F21" s="1">
        <f t="shared" si="3"/>
        <v>53.568105010530445</v>
      </c>
      <c r="G21" s="1">
        <f t="shared" si="0"/>
        <v>31.69593693850345</v>
      </c>
      <c r="H21" s="48">
        <f t="shared" si="2"/>
        <v>948</v>
      </c>
      <c r="I21" s="48">
        <f t="shared" si="1"/>
        <v>2356.8999999999996</v>
      </c>
    </row>
    <row r="22" spans="1:9" ht="18">
      <c r="A22" s="26" t="s">
        <v>1</v>
      </c>
      <c r="B22" s="46">
        <v>573.6</v>
      </c>
      <c r="C22" s="47">
        <v>874.5</v>
      </c>
      <c r="D22" s="48">
        <f>127.7+23.6+33.5+86.7+19.5+2.9</f>
        <v>293.9</v>
      </c>
      <c r="E22" s="1">
        <f>D22/D18*100</f>
        <v>1.2343501287268845</v>
      </c>
      <c r="F22" s="1">
        <f t="shared" si="3"/>
        <v>51.23779637377963</v>
      </c>
      <c r="G22" s="1">
        <f t="shared" si="0"/>
        <v>33.60777587192681</v>
      </c>
      <c r="H22" s="48">
        <f t="shared" si="2"/>
        <v>279.70000000000005</v>
      </c>
      <c r="I22" s="48">
        <f t="shared" si="1"/>
        <v>580.6</v>
      </c>
    </row>
    <row r="23" spans="1:9" ht="18">
      <c r="A23" s="26" t="s">
        <v>0</v>
      </c>
      <c r="B23" s="46">
        <v>3566.6</v>
      </c>
      <c r="C23" s="47">
        <v>6334.3</v>
      </c>
      <c r="D23" s="48">
        <f>230.7+158.8+520.8+110.9+465.7+246.3+3.9+169.6</f>
        <v>1906.6999999999998</v>
      </c>
      <c r="E23" s="1">
        <f>D23/D18*100</f>
        <v>8.007946207701771</v>
      </c>
      <c r="F23" s="1">
        <f t="shared" si="3"/>
        <v>53.45987775472438</v>
      </c>
      <c r="G23" s="1">
        <f t="shared" si="0"/>
        <v>30.10119508075083</v>
      </c>
      <c r="H23" s="48">
        <f t="shared" si="2"/>
        <v>1659.9</v>
      </c>
      <c r="I23" s="48">
        <f t="shared" si="1"/>
        <v>4427.6</v>
      </c>
    </row>
    <row r="24" spans="1:9" ht="18">
      <c r="A24" s="26" t="s">
        <v>15</v>
      </c>
      <c r="B24" s="46">
        <v>249.3</v>
      </c>
      <c r="C24" s="47">
        <v>363.5</v>
      </c>
      <c r="D24" s="48">
        <f>73.6+22.6+5.3+2.4+2.5</f>
        <v>106.39999999999999</v>
      </c>
      <c r="E24" s="1">
        <f>D24/D18*100</f>
        <v>0.4468691857657044</v>
      </c>
      <c r="F24" s="1">
        <f t="shared" si="3"/>
        <v>42.679502607300435</v>
      </c>
      <c r="G24" s="1">
        <f t="shared" si="0"/>
        <v>29.27097661623109</v>
      </c>
      <c r="H24" s="48">
        <f t="shared" si="2"/>
        <v>142.90000000000003</v>
      </c>
      <c r="I24" s="48">
        <f t="shared" si="1"/>
        <v>257.1</v>
      </c>
    </row>
    <row r="25" spans="1:9" ht="18.75" thickBot="1">
      <c r="A25" s="26" t="s">
        <v>34</v>
      </c>
      <c r="B25" s="47">
        <f>B18-B20-B21-B22-B23-B24</f>
        <v>769.7000000000014</v>
      </c>
      <c r="C25" s="47">
        <f>C18-C20-C21-C22-C23-C24</f>
        <v>1224.500000000001</v>
      </c>
      <c r="D25" s="47">
        <f>D18-D20-D21-D22-D23-D24</f>
        <v>269.30000000000393</v>
      </c>
      <c r="E25" s="1">
        <f>D25/D18*100</f>
        <v>1.1310326290103943</v>
      </c>
      <c r="F25" s="1">
        <f t="shared" si="3"/>
        <v>34.98765752890781</v>
      </c>
      <c r="G25" s="1">
        <f t="shared" si="0"/>
        <v>21.992650061249794</v>
      </c>
      <c r="H25" s="48">
        <f t="shared" si="2"/>
        <v>500.3999999999975</v>
      </c>
      <c r="I25" s="48">
        <f t="shared" si="1"/>
        <v>955.199999999997</v>
      </c>
    </row>
    <row r="26" spans="1:9" ht="57" hidden="1" thickBot="1">
      <c r="A26" s="104" t="s">
        <v>89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90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91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92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93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94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95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7553.5</v>
      </c>
      <c r="C33" s="50">
        <v>11330.2</v>
      </c>
      <c r="D33" s="54">
        <f>1335+343.1+78.5+19.5+60.6+1286.4+5+525.1+62.5+112+1.7+1386+0.2+29.8</f>
        <v>5245.4</v>
      </c>
      <c r="E33" s="3">
        <f>D33/D149*100</f>
        <v>6.1435789562451255</v>
      </c>
      <c r="F33" s="3">
        <f>D33/B33*100</f>
        <v>69.44330442841067</v>
      </c>
      <c r="G33" s="3">
        <f t="shared" si="0"/>
        <v>46.29574058710348</v>
      </c>
      <c r="H33" s="51">
        <f t="shared" si="2"/>
        <v>2308.1000000000004</v>
      </c>
      <c r="I33" s="51">
        <f t="shared" si="1"/>
        <v>6084.800000000001</v>
      </c>
    </row>
    <row r="34" spans="1:9" ht="18">
      <c r="A34" s="26" t="s">
        <v>3</v>
      </c>
      <c r="B34" s="46">
        <v>5452.4</v>
      </c>
      <c r="C34" s="47">
        <v>8148.9</v>
      </c>
      <c r="D34" s="48">
        <f>1335+1268.2+1354.9</f>
        <v>3958.1</v>
      </c>
      <c r="E34" s="1">
        <f>D34/D33*100</f>
        <v>75.45849696877264</v>
      </c>
      <c r="F34" s="1">
        <f t="shared" si="3"/>
        <v>72.59372019661066</v>
      </c>
      <c r="G34" s="1">
        <f t="shared" si="0"/>
        <v>48.57219992882475</v>
      </c>
      <c r="H34" s="48">
        <f t="shared" si="2"/>
        <v>1494.2999999999997</v>
      </c>
      <c r="I34" s="48">
        <f t="shared" si="1"/>
        <v>4190.799999999999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470.8</v>
      </c>
      <c r="C36" s="47">
        <v>734.3</v>
      </c>
      <c r="D36" s="48">
        <f>10.5+61.2+112+1.1+10.5+29.3</f>
        <v>224.6</v>
      </c>
      <c r="E36" s="1">
        <f>D36/D33*100</f>
        <v>4.281846951614749</v>
      </c>
      <c r="F36" s="1">
        <f t="shared" si="3"/>
        <v>47.70603228547154</v>
      </c>
      <c r="G36" s="1">
        <f t="shared" si="0"/>
        <v>30.586953561214763</v>
      </c>
      <c r="H36" s="48">
        <f t="shared" si="2"/>
        <v>246.20000000000002</v>
      </c>
      <c r="I36" s="48">
        <f t="shared" si="1"/>
        <v>509.69999999999993</v>
      </c>
    </row>
    <row r="37" spans="1:9" s="41" customFormat="1" ht="18.75">
      <c r="A37" s="20" t="s">
        <v>7</v>
      </c>
      <c r="B37" s="55">
        <v>117.7</v>
      </c>
      <c r="C37" s="56">
        <v>176.6</v>
      </c>
      <c r="D37" s="57">
        <f>11.2+19.5+15.2+5</f>
        <v>50.9</v>
      </c>
      <c r="E37" s="17">
        <f>D37/D33*100</f>
        <v>0.970374042017768</v>
      </c>
      <c r="F37" s="17">
        <f t="shared" si="3"/>
        <v>43.24553950722175</v>
      </c>
      <c r="G37" s="17">
        <f t="shared" si="0"/>
        <v>28.822197055492637</v>
      </c>
      <c r="H37" s="57">
        <f t="shared" si="2"/>
        <v>66.80000000000001</v>
      </c>
      <c r="I37" s="57">
        <f t="shared" si="1"/>
        <v>125.69999999999999</v>
      </c>
    </row>
    <row r="38" spans="1:9" ht="18">
      <c r="A38" s="26" t="s">
        <v>15</v>
      </c>
      <c r="B38" s="46">
        <v>10.2</v>
      </c>
      <c r="C38" s="47">
        <v>15.3</v>
      </c>
      <c r="D38" s="47">
        <f>5.1</f>
        <v>5.1</v>
      </c>
      <c r="E38" s="1">
        <f>D38/D33*100</f>
        <v>0.0972280474320357</v>
      </c>
      <c r="F38" s="1">
        <f t="shared" si="3"/>
        <v>50</v>
      </c>
      <c r="G38" s="1">
        <f t="shared" si="0"/>
        <v>33.33333333333333</v>
      </c>
      <c r="H38" s="48">
        <f t="shared" si="2"/>
        <v>5.1</v>
      </c>
      <c r="I38" s="48">
        <f t="shared" si="1"/>
        <v>10.200000000000001</v>
      </c>
    </row>
    <row r="39" spans="1:9" ht="18.75" thickBot="1">
      <c r="A39" s="26" t="s">
        <v>34</v>
      </c>
      <c r="B39" s="46">
        <f>B33-B34-B36-B37-B35-B38</f>
        <v>1502.4000000000003</v>
      </c>
      <c r="C39" s="46">
        <f>C33-C34-C36-C37-C35-C38</f>
        <v>2255.100000000001</v>
      </c>
      <c r="D39" s="46">
        <f>D33-D34-D36-D37-D35-D38</f>
        <v>1006.6999999999998</v>
      </c>
      <c r="E39" s="1">
        <f>D39/D33*100</f>
        <v>19.192053990162808</v>
      </c>
      <c r="F39" s="1">
        <f t="shared" si="3"/>
        <v>67.00612353567622</v>
      </c>
      <c r="G39" s="1">
        <f t="shared" si="0"/>
        <v>44.641035874240586</v>
      </c>
      <c r="H39" s="48">
        <f>B39-D39</f>
        <v>495.7000000000005</v>
      </c>
      <c r="I39" s="48">
        <f t="shared" si="1"/>
        <v>1248.400000000001</v>
      </c>
    </row>
    <row r="40" spans="1:9" ht="19.5" hidden="1" thickBot="1">
      <c r="A40" s="104" t="s">
        <v>86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87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88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128</v>
      </c>
      <c r="C43" s="50">
        <v>192</v>
      </c>
      <c r="D43" s="51">
        <f>22.2</f>
        <v>22.2</v>
      </c>
      <c r="E43" s="3">
        <f>D43/D149*100</f>
        <v>0.026001344574034732</v>
      </c>
      <c r="F43" s="3">
        <f>D43/B43*100</f>
        <v>17.34375</v>
      </c>
      <c r="G43" s="3">
        <f t="shared" si="0"/>
        <v>11.5625</v>
      </c>
      <c r="H43" s="51">
        <f t="shared" si="2"/>
        <v>105.8</v>
      </c>
      <c r="I43" s="51">
        <f t="shared" si="1"/>
        <v>169.8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1255.1</v>
      </c>
      <c r="C45" s="50">
        <v>1882.6</v>
      </c>
      <c r="D45" s="51">
        <f>224.1+260.8+14.4+236.4</f>
        <v>735.6999999999999</v>
      </c>
      <c r="E45" s="3">
        <f>D45/D149*100</f>
        <v>0.8616751893296104</v>
      </c>
      <c r="F45" s="3">
        <f>D45/B45*100</f>
        <v>58.61684327941996</v>
      </c>
      <c r="G45" s="3">
        <f aca="true" t="shared" si="4" ref="G45:G75">D45/C45*100</f>
        <v>39.07893338999256</v>
      </c>
      <c r="H45" s="51">
        <f>B45-D45</f>
        <v>519.4</v>
      </c>
      <c r="I45" s="51">
        <f aca="true" t="shared" si="5" ref="I45:I76">C45-D45</f>
        <v>1146.9</v>
      </c>
    </row>
    <row r="46" spans="1:9" ht="18">
      <c r="A46" s="26" t="s">
        <v>3</v>
      </c>
      <c r="B46" s="46">
        <v>1072.3</v>
      </c>
      <c r="C46" s="47">
        <v>1605.2</v>
      </c>
      <c r="D46" s="48">
        <f>224.1+258.6+235.3</f>
        <v>718</v>
      </c>
      <c r="E46" s="1">
        <f>D46/D45*100</f>
        <v>97.5941280413212</v>
      </c>
      <c r="F46" s="1">
        <f aca="true" t="shared" si="6" ref="F46:F73">D46/B46*100</f>
        <v>66.95887344959434</v>
      </c>
      <c r="G46" s="1">
        <f t="shared" si="4"/>
        <v>44.72962870670321</v>
      </c>
      <c r="H46" s="48">
        <f aca="true" t="shared" si="7" ref="H46:H73">B46-D46</f>
        <v>354.29999999999995</v>
      </c>
      <c r="I46" s="48">
        <f t="shared" si="5"/>
        <v>887.2</v>
      </c>
    </row>
    <row r="47" spans="1:9" ht="18">
      <c r="A47" s="26" t="s">
        <v>2</v>
      </c>
      <c r="B47" s="46">
        <v>0</v>
      </c>
      <c r="C47" s="47">
        <v>0.3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0.3</v>
      </c>
    </row>
    <row r="48" spans="1:9" ht="18">
      <c r="A48" s="26" t="s">
        <v>1</v>
      </c>
      <c r="B48" s="46">
        <v>8.6</v>
      </c>
      <c r="C48" s="47">
        <v>15.2</v>
      </c>
      <c r="D48" s="48">
        <f>0.2</f>
        <v>0.2</v>
      </c>
      <c r="E48" s="1">
        <f>D48/D45*100</f>
        <v>0.027184993883376384</v>
      </c>
      <c r="F48" s="1">
        <f t="shared" si="6"/>
        <v>2.3255813953488373</v>
      </c>
      <c r="G48" s="1">
        <f t="shared" si="4"/>
        <v>1.3157894736842106</v>
      </c>
      <c r="H48" s="48">
        <f t="shared" si="7"/>
        <v>8.4</v>
      </c>
      <c r="I48" s="48">
        <f t="shared" si="5"/>
        <v>15</v>
      </c>
    </row>
    <row r="49" spans="1:9" ht="18">
      <c r="A49" s="26" t="s">
        <v>0</v>
      </c>
      <c r="B49" s="46">
        <v>144.5</v>
      </c>
      <c r="C49" s="47">
        <v>215.5</v>
      </c>
      <c r="D49" s="48">
        <f>2.2+2.5</f>
        <v>4.7</v>
      </c>
      <c r="E49" s="1">
        <f>D49/D45*100</f>
        <v>0.638847356259345</v>
      </c>
      <c r="F49" s="1">
        <f t="shared" si="6"/>
        <v>3.2525951557093427</v>
      </c>
      <c r="G49" s="1">
        <f t="shared" si="4"/>
        <v>2.1809744779582365</v>
      </c>
      <c r="H49" s="48">
        <f t="shared" si="7"/>
        <v>139.8</v>
      </c>
      <c r="I49" s="48">
        <f t="shared" si="5"/>
        <v>210.8</v>
      </c>
    </row>
    <row r="50" spans="1:9" ht="18.75" thickBot="1">
      <c r="A50" s="26" t="s">
        <v>34</v>
      </c>
      <c r="B50" s="47">
        <f>B45-B46-B49-B48-B47</f>
        <v>29.699999999999953</v>
      </c>
      <c r="C50" s="47">
        <f>C45-C46-C49-C48-C47</f>
        <v>46.399999999999864</v>
      </c>
      <c r="D50" s="47">
        <f>D45-D46-D49-D48-D47</f>
        <v>12.799999999999933</v>
      </c>
      <c r="E50" s="1">
        <f>D50/D45*100</f>
        <v>1.7398396085360792</v>
      </c>
      <c r="F50" s="1">
        <f t="shared" si="6"/>
        <v>43.09764309764294</v>
      </c>
      <c r="G50" s="1">
        <f t="shared" si="4"/>
        <v>27.586206896551662</v>
      </c>
      <c r="H50" s="48">
        <f t="shared" si="7"/>
        <v>16.90000000000002</v>
      </c>
      <c r="I50" s="48">
        <f t="shared" si="5"/>
        <v>33.59999999999993</v>
      </c>
    </row>
    <row r="51" spans="1:9" ht="18.75" thickBot="1">
      <c r="A51" s="25" t="s">
        <v>4</v>
      </c>
      <c r="B51" s="49">
        <v>2532.7</v>
      </c>
      <c r="C51" s="50">
        <v>3799</v>
      </c>
      <c r="D51" s="51">
        <f>8+294.9+37.1+10.7+29.1+464+10.3+76.6+3.8+16.5+359.8+101.4</f>
        <v>1412.2</v>
      </c>
      <c r="E51" s="3">
        <f>D51/D149*100</f>
        <v>1.6540134597951284</v>
      </c>
      <c r="F51" s="3">
        <f>D51/B51*100</f>
        <v>55.75867651123308</v>
      </c>
      <c r="G51" s="3">
        <f t="shared" si="4"/>
        <v>37.17294024743354</v>
      </c>
      <c r="H51" s="51">
        <f>B51-D51</f>
        <v>1120.4999999999998</v>
      </c>
      <c r="I51" s="51">
        <f t="shared" si="5"/>
        <v>2386.8</v>
      </c>
    </row>
    <row r="52" spans="1:9" ht="18">
      <c r="A52" s="26" t="s">
        <v>3</v>
      </c>
      <c r="B52" s="46">
        <v>1796.3</v>
      </c>
      <c r="C52" s="47">
        <v>2694.2</v>
      </c>
      <c r="D52" s="48">
        <f>8+294.9+437.7+298.5</f>
        <v>1039.1</v>
      </c>
      <c r="E52" s="1">
        <f>D52/D51*100</f>
        <v>73.5802294292593</v>
      </c>
      <c r="F52" s="1">
        <f t="shared" si="6"/>
        <v>57.84668485219618</v>
      </c>
      <c r="G52" s="1">
        <f t="shared" si="4"/>
        <v>38.56803503823027</v>
      </c>
      <c r="H52" s="48">
        <f t="shared" si="7"/>
        <v>757.2</v>
      </c>
      <c r="I52" s="48">
        <f t="shared" si="5"/>
        <v>1655.1</v>
      </c>
    </row>
    <row r="53" spans="1:9" ht="18" hidden="1">
      <c r="A53" s="26" t="s">
        <v>2</v>
      </c>
      <c r="B53" s="46"/>
      <c r="C53" s="47"/>
      <c r="D53" s="48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48">
        <f t="shared" si="7"/>
        <v>0</v>
      </c>
      <c r="I53" s="48">
        <f t="shared" si="5"/>
        <v>0</v>
      </c>
    </row>
    <row r="54" spans="1:9" ht="18">
      <c r="A54" s="26" t="s">
        <v>1</v>
      </c>
      <c r="B54" s="46">
        <v>32.3</v>
      </c>
      <c r="C54" s="47">
        <v>48.5</v>
      </c>
      <c r="D54" s="48">
        <f>1.3+0.7</f>
        <v>2</v>
      </c>
      <c r="E54" s="1">
        <f>D54/D51*100</f>
        <v>0.141622999575131</v>
      </c>
      <c r="F54" s="1">
        <f t="shared" si="6"/>
        <v>6.191950464396285</v>
      </c>
      <c r="G54" s="1">
        <f t="shared" si="4"/>
        <v>4.123711340206185</v>
      </c>
      <c r="H54" s="48">
        <f t="shared" si="7"/>
        <v>30.299999999999997</v>
      </c>
      <c r="I54" s="48">
        <f t="shared" si="5"/>
        <v>46.5</v>
      </c>
    </row>
    <row r="55" spans="1:9" ht="18">
      <c r="A55" s="26" t="s">
        <v>0</v>
      </c>
      <c r="B55" s="46">
        <v>120.2</v>
      </c>
      <c r="C55" s="47">
        <v>203.6</v>
      </c>
      <c r="D55" s="48">
        <f>10.7+0.6+7.6+85.1</f>
        <v>104</v>
      </c>
      <c r="E55" s="1">
        <f>D55/D51*100</f>
        <v>7.364395977906812</v>
      </c>
      <c r="F55" s="1">
        <f t="shared" si="6"/>
        <v>86.522462562396</v>
      </c>
      <c r="G55" s="1">
        <f t="shared" si="4"/>
        <v>51.080550098231825</v>
      </c>
      <c r="H55" s="48">
        <f t="shared" si="7"/>
        <v>16.200000000000003</v>
      </c>
      <c r="I55" s="48">
        <f t="shared" si="5"/>
        <v>99.6</v>
      </c>
    </row>
    <row r="56" spans="1:9" ht="18.75" thickBot="1">
      <c r="A56" s="26" t="s">
        <v>34</v>
      </c>
      <c r="B56" s="47">
        <f>B51-B52-B55-B54-B53</f>
        <v>583.8999999999999</v>
      </c>
      <c r="C56" s="47">
        <f>C51-C52-C55-C54-C53</f>
        <v>852.7000000000002</v>
      </c>
      <c r="D56" s="47">
        <f>D51-D52-D55-D54-D53</f>
        <v>267.10000000000014</v>
      </c>
      <c r="E56" s="1">
        <f>D56/D51*100</f>
        <v>18.913751593258755</v>
      </c>
      <c r="F56" s="1">
        <f t="shared" si="6"/>
        <v>45.744134269566736</v>
      </c>
      <c r="G56" s="1">
        <f t="shared" si="4"/>
        <v>31.324029553184012</v>
      </c>
      <c r="H56" s="48">
        <f t="shared" si="7"/>
        <v>316.7999999999997</v>
      </c>
      <c r="I56" s="48">
        <f>C56-D56</f>
        <v>585.6</v>
      </c>
    </row>
    <row r="57" spans="1:9" s="41" customFormat="1" ht="19.5" hidden="1" thickBot="1">
      <c r="A57" s="104" t="s">
        <v>85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914.9</v>
      </c>
      <c r="C58" s="50">
        <v>1372.3</v>
      </c>
      <c r="D58" s="51">
        <f>43.5+4.7+72.8+47.2</f>
        <v>168.2</v>
      </c>
      <c r="E58" s="3">
        <f>D58/D149*100</f>
        <v>0.19700117825912802</v>
      </c>
      <c r="F58" s="3">
        <f>D58/B58*100</f>
        <v>18.38452289867745</v>
      </c>
      <c r="G58" s="3">
        <f t="shared" si="4"/>
        <v>12.256795161407855</v>
      </c>
      <c r="H58" s="51">
        <f>B58-D58</f>
        <v>746.7</v>
      </c>
      <c r="I58" s="51">
        <f t="shared" si="5"/>
        <v>1204.1</v>
      </c>
    </row>
    <row r="59" spans="1:9" ht="18">
      <c r="A59" s="26" t="s">
        <v>3</v>
      </c>
      <c r="B59" s="46">
        <v>283.4</v>
      </c>
      <c r="C59" s="47">
        <v>424.5</v>
      </c>
      <c r="D59" s="48">
        <f>43.5+72.8+47.2</f>
        <v>163.5</v>
      </c>
      <c r="E59" s="1">
        <f>D59/D58*100</f>
        <v>97.20570749108205</v>
      </c>
      <c r="F59" s="1">
        <f t="shared" si="6"/>
        <v>57.6923076923077</v>
      </c>
      <c r="G59" s="1">
        <f t="shared" si="4"/>
        <v>38.515901060070675</v>
      </c>
      <c r="H59" s="48">
        <f t="shared" si="7"/>
        <v>119.89999999999998</v>
      </c>
      <c r="I59" s="48">
        <f t="shared" si="5"/>
        <v>261</v>
      </c>
    </row>
    <row r="60" spans="1:9" ht="18">
      <c r="A60" s="26" t="s">
        <v>1</v>
      </c>
      <c r="B60" s="46">
        <v>50</v>
      </c>
      <c r="C60" s="47">
        <v>75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50</v>
      </c>
      <c r="I60" s="48">
        <f t="shared" si="5"/>
        <v>75</v>
      </c>
    </row>
    <row r="61" spans="1:9" ht="18">
      <c r="A61" s="26" t="s">
        <v>0</v>
      </c>
      <c r="B61" s="46">
        <v>88</v>
      </c>
      <c r="C61" s="47">
        <v>164.4</v>
      </c>
      <c r="D61" s="48">
        <f>4.7</f>
        <v>4.7</v>
      </c>
      <c r="E61" s="1">
        <f>D61/D58*100</f>
        <v>2.794292508917955</v>
      </c>
      <c r="F61" s="1">
        <f t="shared" si="6"/>
        <v>5.340909090909092</v>
      </c>
      <c r="G61" s="1">
        <f t="shared" si="4"/>
        <v>2.8588807785888077</v>
      </c>
      <c r="H61" s="48">
        <f t="shared" si="7"/>
        <v>83.3</v>
      </c>
      <c r="I61" s="48">
        <f t="shared" si="5"/>
        <v>159.70000000000002</v>
      </c>
    </row>
    <row r="62" spans="1:9" ht="18">
      <c r="A62" s="26" t="s">
        <v>15</v>
      </c>
      <c r="B62" s="46">
        <v>463.1</v>
      </c>
      <c r="C62" s="47">
        <v>669.5</v>
      </c>
      <c r="D62" s="48"/>
      <c r="E62" s="1">
        <f>D62/D58*100</f>
        <v>0</v>
      </c>
      <c r="F62" s="1">
        <f>D62/B62*100</f>
        <v>0</v>
      </c>
      <c r="G62" s="1">
        <f t="shared" si="4"/>
        <v>0</v>
      </c>
      <c r="H62" s="48">
        <f t="shared" si="7"/>
        <v>463.1</v>
      </c>
      <c r="I62" s="48">
        <f t="shared" si="5"/>
        <v>669.5</v>
      </c>
    </row>
    <row r="63" spans="1:9" ht="18.75" thickBot="1">
      <c r="A63" s="26" t="s">
        <v>34</v>
      </c>
      <c r="B63" s="47">
        <f>B58-B59-B61-B62-B60</f>
        <v>30.399999999999977</v>
      </c>
      <c r="C63" s="47">
        <f>C58-C59-C61-C62-C60</f>
        <v>38.89999999999998</v>
      </c>
      <c r="D63" s="47">
        <f>D58-D59-D61-D62-D60</f>
        <v>-1.1546319456101628E-14</v>
      </c>
      <c r="E63" s="1">
        <f>D63/D58*100</f>
        <v>-6.8646370131400884E-15</v>
      </c>
      <c r="F63" s="1">
        <f t="shared" si="6"/>
        <v>-3.7981314000334335E-14</v>
      </c>
      <c r="G63" s="1">
        <f t="shared" si="4"/>
        <v>-2.968205515707361E-14</v>
      </c>
      <c r="H63" s="48">
        <f t="shared" si="7"/>
        <v>30.399999999999988</v>
      </c>
      <c r="I63" s="48">
        <f t="shared" si="5"/>
        <v>38.89999999999999</v>
      </c>
    </row>
    <row r="64" spans="1:9" s="41" customFormat="1" ht="19.5" hidden="1" thickBot="1">
      <c r="A64" s="104" t="s">
        <v>96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82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83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84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61.8</v>
      </c>
      <c r="C68" s="50">
        <f>C69+C70</f>
        <v>92.6</v>
      </c>
      <c r="D68" s="51">
        <f>SUM(D69:D70)</f>
        <v>3.9</v>
      </c>
      <c r="E68" s="39">
        <f>D68/D149*100</f>
        <v>0.004567803776519616</v>
      </c>
      <c r="F68" s="3">
        <f>D68/B68*100</f>
        <v>6.310679611650485</v>
      </c>
      <c r="G68" s="3">
        <f t="shared" si="4"/>
        <v>4.211663066954644</v>
      </c>
      <c r="H68" s="51">
        <f>B68-D68</f>
        <v>57.9</v>
      </c>
      <c r="I68" s="51">
        <f t="shared" si="5"/>
        <v>88.69999999999999</v>
      </c>
    </row>
    <row r="69" spans="1:9" ht="18" hidden="1">
      <c r="A69" s="26" t="s">
        <v>8</v>
      </c>
      <c r="B69" s="46">
        <v>61.8</v>
      </c>
      <c r="C69" s="47">
        <v>92.6</v>
      </c>
      <c r="D69" s="48">
        <f>3.9</f>
        <v>3.9</v>
      </c>
      <c r="E69" s="1">
        <f>D69/D68*100</f>
        <v>100</v>
      </c>
      <c r="F69" s="1">
        <f t="shared" si="6"/>
        <v>6.310679611650485</v>
      </c>
      <c r="G69" s="1">
        <f t="shared" si="4"/>
        <v>4.211663066954644</v>
      </c>
      <c r="H69" s="48">
        <f t="shared" si="7"/>
        <v>57.9</v>
      </c>
      <c r="I69" s="48">
        <f t="shared" si="5"/>
        <v>88.69999999999999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81.7</v>
      </c>
      <c r="C76" s="66">
        <v>122.5</v>
      </c>
      <c r="D76" s="67"/>
      <c r="E76" s="45"/>
      <c r="F76" s="45"/>
      <c r="G76" s="45"/>
      <c r="H76" s="67">
        <f>B76-D76</f>
        <v>81.7</v>
      </c>
      <c r="I76" s="67">
        <f t="shared" si="5"/>
        <v>122.5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76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75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8363.5</v>
      </c>
      <c r="C89" s="50">
        <v>12545.2</v>
      </c>
      <c r="D89" s="51">
        <f>504.1+603.6+0.4+13.4+0.4+2.2+9.9+1.1+305.4+663.4+712.7+3.4+59.2+17.1+69.2+0.3+0.1+65+384.8+526.3+246.2</f>
        <v>4188.2</v>
      </c>
      <c r="E89" s="3">
        <f>D89/D149*100</f>
        <v>4.9053527632870395</v>
      </c>
      <c r="F89" s="3">
        <f aca="true" t="shared" si="10" ref="F89:F95">D89/B89*100</f>
        <v>50.0771208226221</v>
      </c>
      <c r="G89" s="3">
        <f t="shared" si="8"/>
        <v>33.384880272933074</v>
      </c>
      <c r="H89" s="51">
        <f aca="true" t="shared" si="11" ref="H89:H95">B89-D89</f>
        <v>4175.3</v>
      </c>
      <c r="I89" s="51">
        <f t="shared" si="9"/>
        <v>8357</v>
      </c>
    </row>
    <row r="90" spans="1:9" ht="18">
      <c r="A90" s="26" t="s">
        <v>3</v>
      </c>
      <c r="B90" s="46">
        <v>7095</v>
      </c>
      <c r="C90" s="47">
        <v>10620.7</v>
      </c>
      <c r="D90" s="48">
        <f>504.1+600.9+12.5+0.1+294.4+657+710.4+56.2+67.4+61.4+375.5+513+243.5</f>
        <v>4096.4</v>
      </c>
      <c r="E90" s="1">
        <f>D90/D89*100</f>
        <v>97.80812759658086</v>
      </c>
      <c r="F90" s="1">
        <f t="shared" si="10"/>
        <v>57.73643410852712</v>
      </c>
      <c r="G90" s="1">
        <f t="shared" si="8"/>
        <v>38.56996243185477</v>
      </c>
      <c r="H90" s="48">
        <f t="shared" si="11"/>
        <v>2998.6000000000004</v>
      </c>
      <c r="I90" s="48">
        <f t="shared" si="9"/>
        <v>6524.300000000001</v>
      </c>
    </row>
    <row r="91" spans="1:9" ht="18">
      <c r="A91" s="26" t="s">
        <v>32</v>
      </c>
      <c r="B91" s="46">
        <v>529.5</v>
      </c>
      <c r="C91" s="47">
        <v>802.4</v>
      </c>
      <c r="D91" s="48">
        <f>9.8</f>
        <v>9.8</v>
      </c>
      <c r="E91" s="1">
        <f>D91/D89*100</f>
        <v>0.23399073587698777</v>
      </c>
      <c r="F91" s="1">
        <f t="shared" si="10"/>
        <v>1.8508026440037775</v>
      </c>
      <c r="G91" s="1">
        <f t="shared" si="8"/>
        <v>1.2213359920239284</v>
      </c>
      <c r="H91" s="48">
        <f t="shared" si="11"/>
        <v>519.7</v>
      </c>
      <c r="I91" s="48">
        <f t="shared" si="9"/>
        <v>792.6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739</v>
      </c>
      <c r="C93" s="47">
        <f>C89-C90-C91-C92</f>
        <v>1122.1</v>
      </c>
      <c r="D93" s="47">
        <f>D89-D90-D91-D92</f>
        <v>82.00000000000018</v>
      </c>
      <c r="E93" s="1">
        <f>D93/D89*100</f>
        <v>1.9578816675421469</v>
      </c>
      <c r="F93" s="1">
        <f t="shared" si="10"/>
        <v>11.096075778078509</v>
      </c>
      <c r="G93" s="1">
        <f>D93/C93*100</f>
        <v>7.307726584083432</v>
      </c>
      <c r="H93" s="48">
        <f t="shared" si="11"/>
        <v>656.9999999999998</v>
      </c>
      <c r="I93" s="48">
        <f>C93-D93</f>
        <v>1040.0999999999997</v>
      </c>
    </row>
    <row r="94" spans="1:9" ht="18.75">
      <c r="A94" s="116" t="s">
        <v>12</v>
      </c>
      <c r="B94" s="119">
        <v>10377.4</v>
      </c>
      <c r="C94" s="121">
        <v>15566</v>
      </c>
      <c r="D94" s="120">
        <f>3050.1+485.9+95+377.6+203.9+57.3+702.6+368.5+68.4+157.9+4015.3+212.6</f>
        <v>9795.1</v>
      </c>
      <c r="E94" s="115">
        <f>D94/D149*100</f>
        <v>11.472331992663406</v>
      </c>
      <c r="F94" s="118">
        <f t="shared" si="10"/>
        <v>94.38876789947386</v>
      </c>
      <c r="G94" s="114">
        <f>D94/C94*100</f>
        <v>62.926249518180654</v>
      </c>
      <c r="H94" s="120">
        <f t="shared" si="11"/>
        <v>582.2999999999993</v>
      </c>
      <c r="I94" s="130">
        <f>C94-D94</f>
        <v>5770.9</v>
      </c>
    </row>
    <row r="95" spans="1:9" ht="18.75" thickBot="1">
      <c r="A95" s="117" t="s">
        <v>104</v>
      </c>
      <c r="B95" s="122">
        <v>860</v>
      </c>
      <c r="C95" s="123">
        <v>1290</v>
      </c>
      <c r="D95" s="124">
        <f>57.3+368.5</f>
        <v>425.8</v>
      </c>
      <c r="E95" s="125">
        <f>D95/D94*100</f>
        <v>4.347071494931138</v>
      </c>
      <c r="F95" s="126">
        <f t="shared" si="10"/>
        <v>49.51162790697675</v>
      </c>
      <c r="G95" s="127">
        <f>D95/C95*100</f>
        <v>33.007751937984494</v>
      </c>
      <c r="H95" s="131">
        <f t="shared" si="11"/>
        <v>434.2</v>
      </c>
      <c r="I95" s="132">
        <f>C95-D95</f>
        <v>864.2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1834.1</v>
      </c>
      <c r="C101" s="100">
        <f>2588.7+162.5</f>
        <v>2751.2</v>
      </c>
      <c r="D101" s="87">
        <f>40+388.7+47.5+2+10.9+26</f>
        <v>515.0999999999999</v>
      </c>
      <c r="E101" s="22">
        <f>D101/D149*100</f>
        <v>0.6033014680218599</v>
      </c>
      <c r="F101" s="22">
        <f>D101/B101*100</f>
        <v>28.084619159260672</v>
      </c>
      <c r="G101" s="22">
        <f aca="true" t="shared" si="12" ref="G101:G147">D101/C101*100</f>
        <v>18.722739168362896</v>
      </c>
      <c r="H101" s="87">
        <f aca="true" t="shared" si="13" ref="H101:H106">B101-D101</f>
        <v>1319</v>
      </c>
      <c r="I101" s="87">
        <f aca="true" t="shared" si="14" ref="I101:I147">C101-D101</f>
        <v>2236.1</v>
      </c>
    </row>
    <row r="102" spans="1:9" ht="18">
      <c r="A102" s="26" t="s">
        <v>3</v>
      </c>
      <c r="B102" s="97">
        <v>12.5</v>
      </c>
      <c r="C102" s="95">
        <f>18.7</f>
        <v>18.7</v>
      </c>
      <c r="D102" s="95"/>
      <c r="E102" s="91">
        <f>D102/D101*100</f>
        <v>0</v>
      </c>
      <c r="F102" s="1">
        <f>D102/B102*100</f>
        <v>0</v>
      </c>
      <c r="G102" s="91">
        <f>D102/C102*100</f>
        <v>0</v>
      </c>
      <c r="H102" s="95">
        <f t="shared" si="13"/>
        <v>12.5</v>
      </c>
      <c r="I102" s="95">
        <f t="shared" si="14"/>
        <v>18.7</v>
      </c>
    </row>
    <row r="103" spans="1:9" ht="18">
      <c r="A103" s="93" t="s">
        <v>62</v>
      </c>
      <c r="B103" s="78">
        <v>1548.3</v>
      </c>
      <c r="C103" s="48">
        <v>2321.2</v>
      </c>
      <c r="D103" s="48">
        <f>39.8+388.5+20.6+2+26</f>
        <v>476.90000000000003</v>
      </c>
      <c r="E103" s="1">
        <f>D103/D101*100</f>
        <v>92.58396427878084</v>
      </c>
      <c r="F103" s="1">
        <f aca="true" t="shared" si="15" ref="F103:F147">D103/B103*100</f>
        <v>30.801524252405866</v>
      </c>
      <c r="G103" s="1">
        <f t="shared" si="12"/>
        <v>20.545407547820098</v>
      </c>
      <c r="H103" s="48">
        <f t="shared" si="13"/>
        <v>1071.3999999999999</v>
      </c>
      <c r="I103" s="48">
        <f t="shared" si="14"/>
        <v>1844.2999999999997</v>
      </c>
    </row>
    <row r="104" spans="1:9" ht="54.75" hidden="1" thickBot="1">
      <c r="A104" s="94" t="s">
        <v>100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273.29999999999995</v>
      </c>
      <c r="C105" s="96">
        <f>C101-C102-C103</f>
        <v>411.3000000000002</v>
      </c>
      <c r="D105" s="96">
        <f>D101-D102-D103</f>
        <v>38.199999999999875</v>
      </c>
      <c r="E105" s="92">
        <f>D105/D101*100</f>
        <v>7.416035721219158</v>
      </c>
      <c r="F105" s="92">
        <f t="shared" si="15"/>
        <v>13.977314306622715</v>
      </c>
      <c r="G105" s="92">
        <f t="shared" si="12"/>
        <v>9.287624604911223</v>
      </c>
      <c r="H105" s="132">
        <f>B105-D105</f>
        <v>235.10000000000008</v>
      </c>
      <c r="I105" s="132">
        <f t="shared" si="14"/>
        <v>373.1000000000003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12143.299999999997</v>
      </c>
      <c r="C106" s="89">
        <f>SUM(C107:C146)-C114-C118+C147-C138-C139-C108-C111-C121-C122-C136-C130-C128</f>
        <v>17188.5</v>
      </c>
      <c r="D106" s="89">
        <f>SUM(D107:D146)-D114-D118+D147-D138-D139-D108-D111-D121-D122-D136-D130-D128</f>
        <v>2996.8</v>
      </c>
      <c r="E106" s="90">
        <f>D106/D149*100</f>
        <v>3.5099472711471758</v>
      </c>
      <c r="F106" s="90">
        <f>D106/B106*100</f>
        <v>24.678629367634834</v>
      </c>
      <c r="G106" s="90">
        <f t="shared" si="12"/>
        <v>17.4349128777962</v>
      </c>
      <c r="H106" s="89">
        <f t="shared" si="13"/>
        <v>9146.499999999996</v>
      </c>
      <c r="I106" s="89">
        <f t="shared" si="14"/>
        <v>14191.7</v>
      </c>
    </row>
    <row r="107" spans="1:9" ht="37.5">
      <c r="A107" s="31" t="s">
        <v>66</v>
      </c>
      <c r="B107" s="75">
        <v>300</v>
      </c>
      <c r="C107" s="71">
        <v>449.9</v>
      </c>
      <c r="D107" s="76">
        <f>142.7+0.9</f>
        <v>143.6</v>
      </c>
      <c r="E107" s="6">
        <f>D107/D106*100</f>
        <v>4.79177789642285</v>
      </c>
      <c r="F107" s="6">
        <f t="shared" si="15"/>
        <v>47.86666666666666</v>
      </c>
      <c r="G107" s="6">
        <f t="shared" si="12"/>
        <v>31.918204045343412</v>
      </c>
      <c r="H107" s="65">
        <f aca="true" t="shared" si="16" ref="H107:H147">B107-D107</f>
        <v>156.4</v>
      </c>
      <c r="I107" s="65">
        <f t="shared" si="14"/>
        <v>306.29999999999995</v>
      </c>
    </row>
    <row r="108" spans="1:9" ht="18">
      <c r="A108" s="26" t="s">
        <v>32</v>
      </c>
      <c r="B108" s="78">
        <v>215.2</v>
      </c>
      <c r="C108" s="48">
        <v>318.3</v>
      </c>
      <c r="D108" s="79">
        <f>142.7+0.9</f>
        <v>143.6</v>
      </c>
      <c r="E108" s="1">
        <f>D108/D107*100</f>
        <v>100</v>
      </c>
      <c r="F108" s="1">
        <f t="shared" si="15"/>
        <v>66.72862453531599</v>
      </c>
      <c r="G108" s="1">
        <f t="shared" si="12"/>
        <v>45.11467169337103</v>
      </c>
      <c r="H108" s="48">
        <f t="shared" si="16"/>
        <v>71.6</v>
      </c>
      <c r="I108" s="48">
        <f t="shared" si="14"/>
        <v>174.70000000000002</v>
      </c>
    </row>
    <row r="109" spans="1:9" ht="34.5" customHeight="1">
      <c r="A109" s="16" t="s">
        <v>99</v>
      </c>
      <c r="B109" s="77">
        <v>150.6</v>
      </c>
      <c r="C109" s="65">
        <v>226</v>
      </c>
      <c r="D109" s="76">
        <f>26.5+20.2</f>
        <v>46.7</v>
      </c>
      <c r="E109" s="6">
        <f>D109/D106*100</f>
        <v>1.558328884143086</v>
      </c>
      <c r="F109" s="6">
        <f>D109/B109*100</f>
        <v>31.009296148738386</v>
      </c>
      <c r="G109" s="6">
        <f t="shared" si="12"/>
        <v>20.663716814159294</v>
      </c>
      <c r="H109" s="65">
        <f t="shared" si="16"/>
        <v>103.89999999999999</v>
      </c>
      <c r="I109" s="65">
        <f t="shared" si="14"/>
        <v>179.3</v>
      </c>
    </row>
    <row r="110" spans="1:9" s="41" customFormat="1" ht="34.5" customHeight="1" hidden="1">
      <c r="A110" s="16" t="s">
        <v>74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37.5" hidden="1">
      <c r="A112" s="16" t="s">
        <v>73</v>
      </c>
      <c r="B112" s="77"/>
      <c r="C112" s="65"/>
      <c r="D112" s="76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5">
        <f t="shared" si="16"/>
        <v>0</v>
      </c>
      <c r="I112" s="65">
        <f t="shared" si="14"/>
        <v>0</v>
      </c>
    </row>
    <row r="113" spans="1:9" ht="37.5">
      <c r="A113" s="16" t="s">
        <v>46</v>
      </c>
      <c r="B113" s="77">
        <v>255.4</v>
      </c>
      <c r="C113" s="65">
        <v>383.1</v>
      </c>
      <c r="D113" s="76">
        <f>82.2+4.4+0.2</f>
        <v>86.80000000000001</v>
      </c>
      <c r="E113" s="6">
        <f>D113/D106*100</f>
        <v>2.8964228510411107</v>
      </c>
      <c r="F113" s="6">
        <f t="shared" si="15"/>
        <v>33.985904463586536</v>
      </c>
      <c r="G113" s="6">
        <f t="shared" si="12"/>
        <v>22.65726964239102</v>
      </c>
      <c r="H113" s="65">
        <f t="shared" si="16"/>
        <v>168.6</v>
      </c>
      <c r="I113" s="65">
        <f t="shared" si="14"/>
        <v>296.3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40.2</v>
      </c>
      <c r="C117" s="57">
        <v>60.4</v>
      </c>
      <c r="D117" s="76">
        <f>17.1-0.3+0.8</f>
        <v>17.6</v>
      </c>
      <c r="E117" s="6">
        <f>D117/D106*100</f>
        <v>0.587293112653497</v>
      </c>
      <c r="F117" s="6">
        <f t="shared" si="15"/>
        <v>43.78109452736319</v>
      </c>
      <c r="G117" s="6">
        <f t="shared" si="12"/>
        <v>29.139072847682122</v>
      </c>
      <c r="H117" s="65">
        <f t="shared" si="16"/>
        <v>22.6</v>
      </c>
      <c r="I117" s="65">
        <f t="shared" si="14"/>
        <v>42.8</v>
      </c>
    </row>
    <row r="118" spans="1:9" s="36" customFormat="1" ht="18">
      <c r="A118" s="37" t="s">
        <v>53</v>
      </c>
      <c r="B118" s="78">
        <v>37.2</v>
      </c>
      <c r="C118" s="48">
        <v>55.7</v>
      </c>
      <c r="D118" s="79">
        <f>17.1-0.3</f>
        <v>16.8</v>
      </c>
      <c r="E118" s="1">
        <f>D118/D117*100</f>
        <v>95.45454545454545</v>
      </c>
      <c r="F118" s="1">
        <f t="shared" si="15"/>
        <v>45.16129032258064</v>
      </c>
      <c r="G118" s="1">
        <f t="shared" si="12"/>
        <v>30.16157989228007</v>
      </c>
      <c r="H118" s="48">
        <f t="shared" si="16"/>
        <v>20.400000000000002</v>
      </c>
      <c r="I118" s="48">
        <f t="shared" si="14"/>
        <v>38.900000000000006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182.2</v>
      </c>
      <c r="C120" s="57">
        <v>273.2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182.2</v>
      </c>
      <c r="I120" s="65">
        <f t="shared" si="14"/>
        <v>273.2</v>
      </c>
    </row>
    <row r="121" spans="1:9" s="110" customFormat="1" ht="18" hidden="1">
      <c r="A121" s="26" t="s">
        <v>101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489</v>
      </c>
      <c r="C123" s="57">
        <v>733.4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489</v>
      </c>
      <c r="I123" s="65">
        <f t="shared" si="14"/>
        <v>733.4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97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106</v>
      </c>
      <c r="B126" s="77">
        <v>55.4</v>
      </c>
      <c r="C126" s="57">
        <v>83.1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55.4</v>
      </c>
      <c r="I126" s="65">
        <f t="shared" si="14"/>
        <v>83.1</v>
      </c>
    </row>
    <row r="127" spans="1:9" s="2" customFormat="1" ht="37.5">
      <c r="A127" s="16" t="s">
        <v>77</v>
      </c>
      <c r="B127" s="77">
        <v>137.2</v>
      </c>
      <c r="C127" s="57">
        <v>205.8</v>
      </c>
      <c r="D127" s="80">
        <f>2.8+14.4</f>
        <v>17.2</v>
      </c>
      <c r="E127" s="17">
        <f>D127/D106*100</f>
        <v>0.573945541911372</v>
      </c>
      <c r="F127" s="6">
        <f t="shared" si="15"/>
        <v>12.536443148688047</v>
      </c>
      <c r="G127" s="6">
        <f t="shared" si="12"/>
        <v>8.35762876579203</v>
      </c>
      <c r="H127" s="65">
        <f t="shared" si="16"/>
        <v>119.99999999999999</v>
      </c>
      <c r="I127" s="65">
        <f t="shared" si="14"/>
        <v>188.60000000000002</v>
      </c>
    </row>
    <row r="128" spans="1:9" s="36" customFormat="1" ht="18">
      <c r="A128" s="26" t="s">
        <v>115</v>
      </c>
      <c r="B128" s="78">
        <v>5.5</v>
      </c>
      <c r="C128" s="48">
        <v>8.3</v>
      </c>
      <c r="D128" s="79">
        <f>2.8</f>
        <v>2.8</v>
      </c>
      <c r="E128" s="1">
        <f>D128/D127*100</f>
        <v>16.279069767441857</v>
      </c>
      <c r="F128" s="1">
        <f>D128/B128*100</f>
        <v>50.90909090909091</v>
      </c>
      <c r="G128" s="1">
        <f t="shared" si="12"/>
        <v>33.734939759036145</v>
      </c>
      <c r="H128" s="48">
        <f t="shared" si="16"/>
        <v>2.7</v>
      </c>
      <c r="I128" s="48">
        <f t="shared" si="14"/>
        <v>5.500000000000001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12.7</v>
      </c>
      <c r="C131" s="57">
        <v>19.1</v>
      </c>
      <c r="D131" s="80">
        <f>0.8</f>
        <v>0.8</v>
      </c>
      <c r="E131" s="17">
        <f>D131/D106*100</f>
        <v>0.026695141484249865</v>
      </c>
      <c r="F131" s="6">
        <f t="shared" si="15"/>
        <v>6.299212598425198</v>
      </c>
      <c r="G131" s="6">
        <f t="shared" si="12"/>
        <v>4.18848167539267</v>
      </c>
      <c r="H131" s="65">
        <f t="shared" si="16"/>
        <v>11.899999999999999</v>
      </c>
      <c r="I131" s="65">
        <f t="shared" si="14"/>
        <v>18.3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113</v>
      </c>
      <c r="B133" s="77">
        <v>8.3</v>
      </c>
      <c r="C133" s="57">
        <v>12.5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8.3</v>
      </c>
      <c r="I133" s="65">
        <f t="shared" si="14"/>
        <v>12.5</v>
      </c>
    </row>
    <row r="134" spans="1:9" s="2" customFormat="1" ht="35.25" customHeight="1" hidden="1">
      <c r="A134" s="16" t="s">
        <v>114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105</v>
      </c>
      <c r="B135" s="77">
        <v>62.2</v>
      </c>
      <c r="C135" s="57">
        <v>93.2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62.2</v>
      </c>
      <c r="I135" s="65">
        <f t="shared" si="14"/>
        <v>93.2</v>
      </c>
    </row>
    <row r="136" spans="1:9" s="36" customFormat="1" ht="18">
      <c r="A136" s="26" t="s">
        <v>32</v>
      </c>
      <c r="B136" s="78">
        <v>50.1</v>
      </c>
      <c r="C136" s="48">
        <v>75.2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50.1</v>
      </c>
      <c r="I136" s="48">
        <f t="shared" si="14"/>
        <v>75.2</v>
      </c>
    </row>
    <row r="137" spans="1:9" s="2" customFormat="1" ht="18.75">
      <c r="A137" s="16" t="s">
        <v>31</v>
      </c>
      <c r="B137" s="77">
        <v>173.6</v>
      </c>
      <c r="C137" s="57">
        <v>260.4</v>
      </c>
      <c r="D137" s="80">
        <f>26.5+42.3+30.1</f>
        <v>98.9</v>
      </c>
      <c r="E137" s="17">
        <f>D137/D106*100</f>
        <v>3.3001868659903897</v>
      </c>
      <c r="F137" s="6">
        <f t="shared" si="15"/>
        <v>56.97004608294931</v>
      </c>
      <c r="G137" s="6">
        <f t="shared" si="12"/>
        <v>37.980030721966216</v>
      </c>
      <c r="H137" s="65">
        <f t="shared" si="16"/>
        <v>74.69999999999999</v>
      </c>
      <c r="I137" s="65">
        <f t="shared" si="14"/>
        <v>161.49999999999997</v>
      </c>
    </row>
    <row r="138" spans="1:9" s="36" customFormat="1" ht="18">
      <c r="A138" s="37" t="s">
        <v>53</v>
      </c>
      <c r="B138" s="78">
        <v>149.2</v>
      </c>
      <c r="C138" s="48">
        <v>223.7</v>
      </c>
      <c r="D138" s="79">
        <f>26.5+39.8+30.1</f>
        <v>96.4</v>
      </c>
      <c r="E138" s="1">
        <f>D138/D137*100</f>
        <v>97.4721941354904</v>
      </c>
      <c r="F138" s="1">
        <f aca="true" t="shared" si="17" ref="F138:F146">D138/B138*100</f>
        <v>64.61126005361932</v>
      </c>
      <c r="G138" s="1">
        <f t="shared" si="12"/>
        <v>43.09342869915066</v>
      </c>
      <c r="H138" s="48">
        <f t="shared" si="16"/>
        <v>52.79999999999998</v>
      </c>
      <c r="I138" s="48">
        <f t="shared" si="14"/>
        <v>127.29999999999998</v>
      </c>
    </row>
    <row r="139" spans="1:9" s="36" customFormat="1" ht="18">
      <c r="A139" s="26" t="s">
        <v>32</v>
      </c>
      <c r="B139" s="78">
        <v>18</v>
      </c>
      <c r="C139" s="48">
        <v>25.4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18</v>
      </c>
      <c r="I139" s="48">
        <f t="shared" si="14"/>
        <v>25.4</v>
      </c>
    </row>
    <row r="140" spans="1:9" s="2" customFormat="1" ht="56.25" hidden="1">
      <c r="A140" s="20" t="s">
        <v>110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112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107</v>
      </c>
      <c r="B142" s="77">
        <v>2491.7</v>
      </c>
      <c r="C142" s="57">
        <v>3737.5</v>
      </c>
      <c r="D142" s="80">
        <f>112.8+55.6</f>
        <v>168.4</v>
      </c>
      <c r="E142" s="17">
        <f>D142/D106*100</f>
        <v>5.619327282434597</v>
      </c>
      <c r="F142" s="107">
        <f t="shared" si="17"/>
        <v>6.758438014207169</v>
      </c>
      <c r="G142" s="6">
        <f t="shared" si="12"/>
        <v>4.505685618729097</v>
      </c>
      <c r="H142" s="65">
        <f t="shared" si="16"/>
        <v>2323.2999999999997</v>
      </c>
      <c r="I142" s="65">
        <f t="shared" si="14"/>
        <v>3569.1</v>
      </c>
    </row>
    <row r="143" spans="1:9" s="2" customFormat="1" ht="18.75">
      <c r="A143" s="20" t="s">
        <v>108</v>
      </c>
      <c r="B143" s="77">
        <v>857.2</v>
      </c>
      <c r="C143" s="57">
        <v>1285.8</v>
      </c>
      <c r="D143" s="80"/>
      <c r="E143" s="17">
        <f>D143/D106*100</f>
        <v>0</v>
      </c>
      <c r="F143" s="107">
        <f t="shared" si="17"/>
        <v>0</v>
      </c>
      <c r="G143" s="6">
        <f t="shared" si="12"/>
        <v>0</v>
      </c>
      <c r="H143" s="65">
        <f t="shared" si="16"/>
        <v>857.2</v>
      </c>
      <c r="I143" s="65">
        <f t="shared" si="14"/>
        <v>1285.8</v>
      </c>
    </row>
    <row r="144" spans="1:9" s="2" customFormat="1" ht="18.75">
      <c r="A144" s="16" t="s">
        <v>111</v>
      </c>
      <c r="B144" s="77">
        <v>2094</v>
      </c>
      <c r="C144" s="57">
        <v>2114.7</v>
      </c>
      <c r="D144" s="80"/>
      <c r="E144" s="17">
        <f>D144/D106*100</f>
        <v>0</v>
      </c>
      <c r="F144" s="107">
        <f t="shared" si="17"/>
        <v>0</v>
      </c>
      <c r="G144" s="6">
        <f t="shared" si="12"/>
        <v>0</v>
      </c>
      <c r="H144" s="65">
        <f t="shared" si="16"/>
        <v>2094</v>
      </c>
      <c r="I144" s="65">
        <f t="shared" si="14"/>
        <v>2114.7</v>
      </c>
    </row>
    <row r="145" spans="1:12" s="2" customFormat="1" ht="18.75" customHeight="1" hidden="1">
      <c r="A145" s="16" t="s">
        <v>98</v>
      </c>
      <c r="B145" s="77"/>
      <c r="C145" s="57"/>
      <c r="D145" s="80"/>
      <c r="E145" s="17">
        <f>D145/D106*100</f>
        <v>0</v>
      </c>
      <c r="F145" s="107" t="e">
        <f t="shared" si="17"/>
        <v>#DIV/0!</v>
      </c>
      <c r="G145" s="6" t="e">
        <f t="shared" si="12"/>
        <v>#DIV/0!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 hidden="1">
      <c r="A146" s="16" t="s">
        <v>64</v>
      </c>
      <c r="B146" s="77"/>
      <c r="C146" s="57"/>
      <c r="D146" s="80"/>
      <c r="E146" s="17">
        <f>D146/D106*100</f>
        <v>0</v>
      </c>
      <c r="F146" s="6" t="e">
        <f t="shared" si="17"/>
        <v>#DIV/0!</v>
      </c>
      <c r="G146" s="6" t="e">
        <f t="shared" si="12"/>
        <v>#DIV/0!</v>
      </c>
      <c r="H146" s="65">
        <f t="shared" si="16"/>
        <v>0</v>
      </c>
      <c r="I146" s="65">
        <f t="shared" si="14"/>
        <v>0</v>
      </c>
      <c r="K146" s="99"/>
      <c r="L146" s="42"/>
    </row>
    <row r="147" spans="1:12" s="2" customFormat="1" ht="18.75">
      <c r="A147" s="16" t="s">
        <v>109</v>
      </c>
      <c r="B147" s="77">
        <f>1855.3+561.5+2416.8</f>
        <v>4833.6</v>
      </c>
      <c r="C147" s="57">
        <f>5565.9+1684.5</f>
        <v>7250.4</v>
      </c>
      <c r="D147" s="80">
        <f>805.6+805.6+805.6</f>
        <v>2416.8</v>
      </c>
      <c r="E147" s="17">
        <f>D147/D106*100</f>
        <v>80.64602242391885</v>
      </c>
      <c r="F147" s="6">
        <f t="shared" si="15"/>
        <v>50</v>
      </c>
      <c r="G147" s="6">
        <f t="shared" si="12"/>
        <v>33.333333333333336</v>
      </c>
      <c r="H147" s="65">
        <f t="shared" si="16"/>
        <v>2416.8</v>
      </c>
      <c r="I147" s="65">
        <f t="shared" si="14"/>
        <v>4833.599999999999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14248.899999999998</v>
      </c>
      <c r="C148" s="81">
        <f>C43+C68+C71+C76+C78+C86+C101+C106+C99+C83+C97</f>
        <v>20346.8</v>
      </c>
      <c r="D148" s="57">
        <f>D43+D68+D71+D76+D78+D86+D101+D106+D99+D83+D97</f>
        <v>3538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140370.8</v>
      </c>
      <c r="C149" s="51">
        <f>C6+C18+C33+C43+C51+C58+C68+C71+C76+C78+C86+C89+C94+C101+C106+C99+C83+C97+C45</f>
        <v>209529.40000000002</v>
      </c>
      <c r="D149" s="51">
        <f>D6+D18+D33+D43+D51+D58+D68+D71+D76+D78+D86+D89+D94+D101+D106+D99+D83+D97+D45</f>
        <v>85380.19999999998</v>
      </c>
      <c r="E149" s="35">
        <v>100</v>
      </c>
      <c r="F149" s="3">
        <f>D149/B149*100</f>
        <v>60.82475842554149</v>
      </c>
      <c r="G149" s="3">
        <f aca="true" t="shared" si="18" ref="G149:G155">D149/C149*100</f>
        <v>40.74855366359087</v>
      </c>
      <c r="H149" s="51">
        <f aca="true" t="shared" si="19" ref="H149:H155">B149-D149</f>
        <v>54990.600000000006</v>
      </c>
      <c r="I149" s="51">
        <f aca="true" t="shared" si="20" ref="I149:I155">C149-D149</f>
        <v>124149.20000000004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83275.29999999999</v>
      </c>
      <c r="C150" s="64">
        <f>C8+C20+C34+C52+C59+C90+C114+C118+C46+C138+C130+C102</f>
        <v>124094.59999999998</v>
      </c>
      <c r="D150" s="64">
        <f>D8+D20+D34+D52+D59+D90+D114+D118+D46+D138+D130+D102</f>
        <v>60265.3</v>
      </c>
      <c r="E150" s="6">
        <f>D150/D149*100</f>
        <v>70.58463203412502</v>
      </c>
      <c r="F150" s="6">
        <f aca="true" t="shared" si="21" ref="F150:F161">D150/B150*100</f>
        <v>72.3687576027946</v>
      </c>
      <c r="G150" s="6">
        <f t="shared" si="18"/>
        <v>48.563998755787935</v>
      </c>
      <c r="H150" s="65">
        <f t="shared" si="19"/>
        <v>23009.999999999985</v>
      </c>
      <c r="I150" s="76">
        <f t="shared" si="20"/>
        <v>63829.299999999974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23583.699999999997</v>
      </c>
      <c r="C151" s="65">
        <f>C11+C23+C36+C55+C61+C91+C49+C139+C108+C111+C95+C136</f>
        <v>35678.700000000004</v>
      </c>
      <c r="D151" s="65">
        <f>D11+D23+D36+D55+D61+D91+D49+D139+D108+D111+D95+D136</f>
        <v>8150.000000000001</v>
      </c>
      <c r="E151" s="6">
        <f>D151/D149*100</f>
        <v>9.545538661188429</v>
      </c>
      <c r="F151" s="6">
        <f t="shared" si="21"/>
        <v>34.55776659302824</v>
      </c>
      <c r="G151" s="6">
        <f t="shared" si="18"/>
        <v>22.842760526588695</v>
      </c>
      <c r="H151" s="65">
        <f t="shared" si="19"/>
        <v>15433.699999999997</v>
      </c>
      <c r="I151" s="76">
        <f t="shared" si="20"/>
        <v>27528.700000000004</v>
      </c>
      <c r="K151" s="43"/>
      <c r="L151" s="98"/>
    </row>
    <row r="152" spans="1:12" ht="18.75">
      <c r="A152" s="20" t="s">
        <v>1</v>
      </c>
      <c r="B152" s="64">
        <f>B22+B10+B54+B48+B60+B35+B122</f>
        <v>3400.7</v>
      </c>
      <c r="C152" s="64">
        <f>C22+C10+C54+C48+C60+C35+C122</f>
        <v>5199.3</v>
      </c>
      <c r="D152" s="64">
        <f>D22+D10+D54+D48+D60+D35+D122</f>
        <v>1384.2</v>
      </c>
      <c r="E152" s="6">
        <f>D152/D149*100</f>
        <v>1.6212189711431928</v>
      </c>
      <c r="F152" s="6">
        <f t="shared" si="21"/>
        <v>40.7033845972888</v>
      </c>
      <c r="G152" s="6">
        <f t="shared" si="18"/>
        <v>26.62281460965899</v>
      </c>
      <c r="H152" s="65">
        <f t="shared" si="19"/>
        <v>2016.4999999999998</v>
      </c>
      <c r="I152" s="76">
        <f t="shared" si="20"/>
        <v>3815.1000000000004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2302.8999999999996</v>
      </c>
      <c r="C153" s="64">
        <f>C12+C24+C103+C62+C38+C92+C128</f>
        <v>3418.4</v>
      </c>
      <c r="D153" s="64">
        <f>D12+D24+D103+D62+D38+D92+D128</f>
        <v>612.7</v>
      </c>
      <c r="E153" s="6">
        <f>D153/D149*100</f>
        <v>0.7176136856086073</v>
      </c>
      <c r="F153" s="6">
        <f t="shared" si="21"/>
        <v>26.60558426332017</v>
      </c>
      <c r="G153" s="6">
        <f t="shared" si="18"/>
        <v>17.92358998361807</v>
      </c>
      <c r="H153" s="65">
        <f t="shared" si="19"/>
        <v>1690.1999999999996</v>
      </c>
      <c r="I153" s="76">
        <f t="shared" si="20"/>
        <v>2805.7</v>
      </c>
      <c r="K153" s="43"/>
      <c r="L153" s="98"/>
    </row>
    <row r="154" spans="1:12" ht="18.75">
      <c r="A154" s="20" t="s">
        <v>2</v>
      </c>
      <c r="B154" s="64">
        <f>B9+B21+B47+B53+B121</f>
        <v>2042.7</v>
      </c>
      <c r="C154" s="64">
        <f>C9+C21+C47+C53+C121</f>
        <v>3452.9</v>
      </c>
      <c r="D154" s="64">
        <f>D9+D21+D47+D53+D121</f>
        <v>1093.7</v>
      </c>
      <c r="E154" s="6">
        <f>D154/D149*100</f>
        <v>1.2809761513793598</v>
      </c>
      <c r="F154" s="6">
        <f t="shared" si="21"/>
        <v>53.541880843981005</v>
      </c>
      <c r="G154" s="6">
        <f t="shared" si="18"/>
        <v>31.674824060934288</v>
      </c>
      <c r="H154" s="65">
        <f t="shared" si="19"/>
        <v>949</v>
      </c>
      <c r="I154" s="76">
        <f t="shared" si="20"/>
        <v>2359.2</v>
      </c>
      <c r="K154" s="43"/>
      <c r="L154" s="44"/>
    </row>
    <row r="155" spans="1:12" ht="19.5" thickBot="1">
      <c r="A155" s="20" t="s">
        <v>34</v>
      </c>
      <c r="B155" s="64">
        <f>B149-B150-B151-B152-B153-B154</f>
        <v>25765.500000000004</v>
      </c>
      <c r="C155" s="64">
        <f>C149-C150-C151-C152-C153-C154</f>
        <v>37685.50000000004</v>
      </c>
      <c r="D155" s="64">
        <f>D149-D150-D151-D152-D153-D154</f>
        <v>13874.299999999977</v>
      </c>
      <c r="E155" s="6">
        <f>D155/D149*100</f>
        <v>16.250020496555383</v>
      </c>
      <c r="F155" s="6">
        <f t="shared" si="21"/>
        <v>53.848363121227905</v>
      </c>
      <c r="G155" s="40">
        <f t="shared" si="18"/>
        <v>36.81601677037578</v>
      </c>
      <c r="H155" s="65">
        <f t="shared" si="19"/>
        <v>11891.200000000026</v>
      </c>
      <c r="I155" s="65">
        <f t="shared" si="20"/>
        <v>23811.20000000006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 hidden="1">
      <c r="A157" s="29" t="s">
        <v>21</v>
      </c>
      <c r="B157" s="84"/>
      <c r="C157" s="70"/>
      <c r="D157" s="70"/>
      <c r="E157" s="14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 hidden="1">
      <c r="A159" s="20" t="s">
        <v>60</v>
      </c>
      <c r="B159" s="85"/>
      <c r="C159" s="64"/>
      <c r="D159" s="64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 hidden="1">
      <c r="A161" s="20" t="s">
        <v>13</v>
      </c>
      <c r="B161" s="85"/>
      <c r="C161" s="64"/>
      <c r="D161" s="64"/>
      <c r="E161" s="17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8.75" hidden="1">
      <c r="A163" s="20" t="s">
        <v>52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3" t="s">
        <v>20</v>
      </c>
      <c r="B166" s="87">
        <f>B149+B157+B161+B162+B158+B165+B164+B159+B163+B160</f>
        <v>140370.8</v>
      </c>
      <c r="C166" s="87">
        <f>C149+C157+C161+C162+C158+C165+C164+C159+C163+C160</f>
        <v>209529.40000000002</v>
      </c>
      <c r="D166" s="87">
        <f>D149+D157+D161+D162+D158+D165+D164+D159+D163+D160</f>
        <v>85380.19999999998</v>
      </c>
      <c r="E166" s="22"/>
      <c r="F166" s="3">
        <f>D166/B166*100</f>
        <v>60.82475842554149</v>
      </c>
      <c r="G166" s="3">
        <f t="shared" si="22"/>
        <v>40.74855366359087</v>
      </c>
      <c r="H166" s="3">
        <f>B166-D166</f>
        <v>54990.600000000006</v>
      </c>
      <c r="I166" s="3">
        <f t="shared" si="23"/>
        <v>124149.20000000004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85380.19999999998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85380.19999999998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2016-01-29T08:50:10Z</cp:lastPrinted>
  <dcterms:created xsi:type="dcterms:W3CDTF">2000-06-20T04:48:00Z</dcterms:created>
  <dcterms:modified xsi:type="dcterms:W3CDTF">2016-02-15T06:11:47Z</dcterms:modified>
  <cp:category/>
  <cp:version/>
  <cp:contentType/>
  <cp:contentStatus/>
</cp:coreProperties>
</file>